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cf0fc52b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ória do pagamento" sheetId="1" r:id="Rdd8f3fc38ea74b9b"/>
    <x:sheet xmlns:r="http://schemas.openxmlformats.org/officeDocument/2006/relationships" name="Fontes e documentos" sheetId="2" r:id="R7d12e0f0ce7d4f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R$ &quot;#,##0.00;&quot;-R$ &quot;#,##0.00"/>
    <x:numFmt numFmtId="201" formatCode="0.000000000000"/>
    <x:numFmt numFmtId="202" formatCode="0.000000%"/>
    <x:numFmt numFmtId="203" formatCode="0.00"/>
    <x:numFmt numFmtId="204" formatCode="0.000000"/>
    <x:numFmt numFmtId="205" formatCode="0.0000"/>
  </x:numFmts>
  <x:fonts count="6">
    <x:font>
      <x:sz val="11"/>
      <x:name val="Carlito"/>
    </x:font>
    <x:font>
      <x:sz val="10"/>
      <x:color rgb="FF061326"/>
      <x:name val="Arial"/>
    </x:font>
    <x:font>
      <x:b/>
      <x:sz val="15"/>
      <x:color rgb="FF061326"/>
      <x:name val="Arial"/>
    </x:font>
    <x:font>
      <x:sz val="10"/>
      <x:color rgb="FF061326"/>
      <x:name val="Arial"/>
    </x:font>
    <x:font>
      <x:b/>
      <x:sz val="10"/>
      <x:color rgb="FFFFFFFF"/>
      <x:name val="Arial"/>
    </x:font>
    <x:font>
      <x:b/>
      <x:sz val="12"/>
      <x:color rgb="FF0613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061326"/>
      </x:patternFill>
    </x:fill>
    <x:fill>
      <x:patternFill patternType="solid">
        <x:fgColor rgb="FFF1F3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673eebe3b4459" /><Relationship Type="http://schemas.openxmlformats.org/officeDocument/2006/relationships/theme" Target="/xl/theme/theme1.xml" Id="R3acacf4f25d34a9a" /><Relationship Type="http://schemas.openxmlformats.org/officeDocument/2006/relationships/sharedStrings" Target="/xl/sharedStrings.xml" Id="R2977957a659748e9" /><Relationship Type="http://schemas.openxmlformats.org/officeDocument/2006/relationships/worksheet" Target="/xl/worksheets/sheet1.xml" Id="Rdd8f3fc38ea74b9b" /><Relationship Type="http://schemas.openxmlformats.org/officeDocument/2006/relationships/worksheet" Target="/xl/worksheets/sheet2.xml" Id="R7d12e0f0ce7d4f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22" hidden="0" customWidth="1"/>
    <x:col min="4" max="4" width="30" hidden="0" customWidth="1"/>
    <x:col min="5" max="5" width="22" hidden="0" customWidth="1"/>
    <x:col min="6" max="6" width="24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Pagamento: ordem, data e composição</x:v>
      </x:c>
      <x:c r="B2" s="2"/>
      <x:c r="C2" s="2"/>
      <x:c r="D2" s="2"/>
      <x:c r="E2" s="2"/>
      <x:c r="F2" s="2"/>
    </x:row>
    <x:row r="3" ht="27" customHeight="1">
      <x:c r="A3" s="4" t="str">
        <x:v>Saldos hipotéticos em 30/06/2026; encerramento em 30/09/2026.</x:v>
      </x:c>
      <x:c r="B3" s="2"/>
      <x:c r="C3" s="2"/>
      <x:c r="D3" s="2"/>
      <x:c r="E3" s="2"/>
      <x:c r="F3" s="2"/>
    </x:row>
    <x:row r="4" ht="27" customHeight="1">
      <x:c r="A4" s="2"/>
      <x:c r="B4" s="2"/>
      <x:c r="C4" s="2"/>
      <x:c r="D4" s="2"/>
      <x:c r="E4" s="2"/>
      <x:c r="F4" s="2"/>
    </x:row>
    <x:row r="5" ht="27" customHeight="1">
      <x:c r="A5" s="4" t="str">
        <x:v>Principal já definido, em reais</x:v>
      </x:c>
      <x:c r="B5" s="6" t="n">
        <x:v>100000</x:v>
      </x:c>
      <x:c r="C5" s="2"/>
      <x:c r="D5" s="4" t="str">
        <x:v>Fator IPCA: julho a setembro</x:v>
      </x:c>
      <x:c r="E5" s="7" t="n">
        <x:f>'Fontes e documentos'!B10</x:f>
        <x:v>1.005677241632</x:v>
      </x:c>
      <x:c r="F5" s="2"/>
    </x:row>
    <x:row r="6" ht="27" customHeight="1">
      <x:c r="A6" s="4" t="str">
        <x:v>Juros vencidos já definidos, em reais</x:v>
      </x:c>
      <x:c r="B6" s="6" t="n">
        <x:v>12000</x:v>
      </x:c>
      <x:c r="C6" s="2"/>
      <x:c r="D6" s="4" t="str">
        <x:v>Taxa Legal simples acumulada</x:v>
      </x:c>
      <x:c r="E6" s="8" t="n">
        <x:f>'Fontes e documentos'!B11</x:f>
        <x:v>0.03360253</x:v>
      </x:c>
      <x:c r="F6" s="2"/>
    </x:row>
    <x:row r="7" ht="27" customHeight="1">
      <x:c r="A7" s="4" t="str">
        <x:v>Pagamento reconhecido, em reais</x:v>
      </x:c>
      <x:c r="B7" s="6" t="n">
        <x:v>20000</x:v>
      </x:c>
      <x:c r="C7" s="2"/>
      <x:c r="D7" s="4" t="str">
        <x:v>Fontes públicas fixadas em 03/11/2026.</x:v>
      </x:c>
      <x:c r="E7" s="2"/>
      <x:c r="F7" s="2"/>
    </x:row>
    <x:row r="8" ht="27" customHeight="1">
      <x:c r="A8" s="2"/>
      <x:c r="B8" s="2"/>
      <x:c r="C8" s="2"/>
      <x:c r="D8" s="2"/>
      <x:c r="E8" s="2"/>
      <x:c r="F8" s="2"/>
    </x:row>
    <x:row r="9" ht="27" customHeight="1">
      <x:c r="A9" s="4" t="str">
        <x:v>Entradas no recorte do modelo</x:v>
      </x:c>
      <x:c r="B9" s="2" t="str">
        <x:f>IF(AND(COUNT(B5:B7)=3,B5&gt;=0,B6&gt;=0,B7&gt;=0,B7&lt;=SUM(B5:B6)),"COERENTE","REVER")</x:f>
        <x:v>COERENTE</x:v>
      </x:c>
      <x:c r="C9" s="2"/>
      <x:c r="D9" s="2"/>
      <x:c r="E9" s="2"/>
      <x:c r="F9" s="2"/>
    </x:row>
    <x:row r="10" ht="27" customHeight="1">
      <x:c r="A10" s="2"/>
      <x:c r="B10" s="2"/>
      <x:c r="C10" s="2"/>
      <x:c r="D10" s="2"/>
      <x:c r="E10" s="2"/>
      <x:c r="F10" s="2"/>
    </x:row>
    <x:row r="11" ht="27" customHeight="1">
      <x:c r="A11" s="2"/>
      <x:c r="B11" s="2"/>
      <x:c r="C11" s="2"/>
      <x:c r="D11" s="2"/>
      <x:c r="E11" s="2"/>
      <x:c r="F11" s="2"/>
    </x:row>
    <x:row r="12" ht="43" customHeight="1">
      <x:c r="A12" s="12" t="str">
        <x:v>Hipótese / teste</x:v>
      </x:c>
      <x:c r="B12" s="12" t="str">
        <x:v>Principal final</x:v>
      </x:c>
      <x:c r="C12" s="12" t="str">
        <x:v>Juros antigos finais</x:v>
      </x:c>
      <x:c r="D12" s="12" t="str">
        <x:v>Juros novos finais</x:v>
      </x:c>
      <x:c r="E12" s="12" t="str">
        <x:v>Total após baixa</x:v>
      </x:c>
      <x:c r="F12" s="12" t="str">
        <x:v>Diferença ante referência</x:v>
      </x:c>
    </x:row>
    <x:row r="13" ht="45" customHeight="1">
      <x:c r="A13" s="14" t="str">
        <x:v>Juros vencidos primeiro: referência</x:v>
      </x:c>
      <x:c r="B13" s="16" t="n">
        <x:f>IF($B$9="COERENTE",D24*$E$5,"REVER")</x:f>
        <x:v>92522.306230144</x:v>
      </x:c>
      <x:c r="C13" s="16" t="n">
        <x:f>IF($B$9="COERENTE",E24*$E$5,"REVER")</x:f>
        <x:v>0</x:v>
      </x:c>
      <x:c r="D13" s="16" t="n">
        <x:f>IF($B$9="COERENTE",B13*$E$6,"REVER")</x:f>
        <x:v>3108.9835707676</x:v>
      </x:c>
      <x:c r="E13" s="16" t="n">
        <x:f>IF($B$9="COERENTE",SUM(B13:D13),"REVER")</x:f>
        <x:v>95631.28980091159</x:v>
      </x:c>
      <x:c r="F13" s="16" t="n">
        <x:f>IF($B$9="COERENTE",ROUND(E13-$E$13,8),"REVER")</x:f>
        <x:v>0</x:v>
      </x:c>
    </x:row>
    <x:row r="14" ht="45" customHeight="1">
      <x:c r="A14" s="13" t="str">
        <x:v>Capital primeiro: hipótese alternativa</x:v>
      </x:c>
      <x:c r="B14" s="17" t="n">
        <x:f>IF($B$9="COERENTE",D25*$E$5,"REVER")</x:f>
        <x:v>80454.17933055999</x:v>
      </x:c>
      <x:c r="C14" s="17" t="n">
        <x:f>IF($B$9="COERENTE",E25*$E$5,"REVER")</x:f>
        <x:v>12068.126899583998</x:v>
      </x:c>
      <x:c r="D14" s="17" t="n">
        <x:f>IF($B$9="COERENTE",B14*$E$6,"REVER")</x:f>
        <x:v>2703.4639745805216</x:v>
      </x:c>
      <x:c r="E14" s="17" t="n">
        <x:f>IF($B$9="COERENTE",SUM(B14:D14),"REVER")</x:f>
        <x:v>95225.7702047245</x:v>
      </x:c>
      <x:c r="F14" s="17" t="n">
        <x:f>IF($B$9="COERENTE",ROUND(E14-$E$13,8),"REVER")</x:f>
        <x:v>-405.51959619</x:v>
      </x:c>
    </x:row>
    <x:row r="15" ht="45" customHeight="1">
      <x:c r="A15" s="13" t="str">
        <x:v>Teste: novos juros também sobre juros antigos</x:v>
      </x:c>
      <x:c r="B15" s="17" t="n">
        <x:f>IF($B$9="COERENTE",B14,"REVER")</x:f>
        <x:v>80454.17933055999</x:v>
      </x:c>
      <x:c r="C15" s="17" t="n">
        <x:f>IF($B$9="COERENTE",C14,"REVER")</x:f>
        <x:v>12068.126899583998</x:v>
      </x:c>
      <x:c r="D15" s="17" t="n">
        <x:f>IF($B$9="COERENTE",SUM(B15:C15)*$E$6,"REVER")</x:f>
        <x:v>3108.9835707675998</x:v>
      </x:c>
      <x:c r="E15" s="17" t="n">
        <x:f>IF($B$9="COERENTE",SUM(B15:D15),"REVER")</x:f>
        <x:v>95631.28980091157</x:v>
      </x:c>
      <x:c r="F15" s="17" t="n">
        <x:f>IF($B$9="COERENTE",ROUND(E15-$E$13,8),"REVER")</x:f>
        <x:v>0</x:v>
      </x:c>
    </x:row>
    <x:row r="16" ht="45" customHeight="1">
      <x:c r="A16" s="13" t="str">
        <x:v>Teste: pagamento só em setembro</x:v>
      </x:c>
      <x:c r="B16" s="17" t="n">
        <x:f>IF($B$9="COERENTE",B37,"REVER")</x:f>
        <x:v>96015.18103100965</x:v>
      </x:c>
      <x:c r="C16" s="17" t="n">
        <x:f>IF($B$9="COERENTE",B38,"REVER")</x:f>
        <x:v>0</x:v>
      </x:c>
      <x:c r="D16" s="17" t="n">
        <x:f>IF($B$9="COERENTE",B39,"REVER")</x:f>
        <x:v>0</x:v>
      </x:c>
      <x:c r="E16" s="17" t="n">
        <x:f>IF($B$9="COERENTE",SUM(B16:D16),"REVER")</x:f>
        <x:v>96015.18103100965</x:v>
      </x:c>
      <x:c r="F16" s="17" t="n">
        <x:f>IF($B$9="COERENTE",ROUND(E16-$E$13,8),"REVER")</x:f>
        <x:v>383.8912301</x:v>
      </x:c>
    </x:row>
    <x:row r="17" ht="27" customHeight="1">
      <x:c r="A17" s="2"/>
      <x:c r="B17" s="2"/>
      <x:c r="C17" s="2"/>
      <x:c r="D17" s="2"/>
      <x:c r="E17" s="2"/>
      <x:c r="F17" s="2"/>
    </x:row>
    <x:row r="18" ht="27" customHeight="1">
      <x:c r="A18" s="4" t="str">
        <x:v>Capital primeiro depende de suporte jurídico. A comparação não o declara errado.</x:v>
      </x:c>
      <x:c r="B18" s="2"/>
      <x:c r="C18" s="2"/>
      <x:c r="D18" s="2"/>
      <x:c r="E18" s="2"/>
      <x:c r="F18" s="2"/>
    </x:row>
    <x:row r="19" ht="27" customHeight="1">
      <x:c r="A19" s="4" t="str">
        <x:v>Teste de juros sobre juros e teste de data são separados. Não somar os deltas.</x:v>
      </x:c>
      <x:c r="B19" s="2"/>
      <x:c r="C19" s="2"/>
      <x:c r="D19" s="2"/>
      <x:c r="E19" s="2"/>
      <x:c r="F19" s="2"/>
    </x:row>
    <x:row r="20" ht="27" customHeight="1">
      <x:c r="A20" s="4" t="str">
        <x:v>Hipótese: IPCA corrige principal e juros antigos remanescentes; TL nova só sobre o principal corrigido.</x:v>
      </x:c>
      <x:c r="B20" s="2"/>
      <x:c r="C20" s="2"/>
      <x:c r="D20" s="2"/>
      <x:c r="E20" s="2"/>
      <x:c r="F20" s="2"/>
    </x:row>
    <x:row r="21" ht="27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2"/>
      <x:c r="C22" s="2"/>
      <x:c r="D22" s="2"/>
      <x:c r="E22" s="2"/>
      <x:c r="F22" s="2"/>
    </x:row>
    <x:row r="23" ht="43" customHeight="1">
      <x:c r="A23" s="12" t="str">
        <x:v>Imputação em junho</x:v>
      </x:c>
      <x:c r="B23" s="12" t="str">
        <x:v>Pago em juros</x:v>
      </x:c>
      <x:c r="C23" s="12" t="str">
        <x:v>Pago em principal</x:v>
      </x:c>
      <x:c r="D23" s="12" t="str">
        <x:v>Principal restante</x:v>
      </x:c>
      <x:c r="E23" s="12" t="str">
        <x:v>Juros restantes</x:v>
      </x:c>
      <x:c r="F23" s="12" t="str">
        <x:v>Total após pagamento</x:v>
      </x:c>
    </x:row>
    <x:row r="24" ht="27" customHeight="1">
      <x:c r="A24" s="4" t="str">
        <x:v>Juros vencidos primeiro</x:v>
      </x:c>
      <x:c r="B24" s="17" t="n">
        <x:f>IF($B$9="COERENTE",MIN($B$7,$B$6),"REVER")</x:f>
        <x:v>12000</x:v>
      </x:c>
      <x:c r="C24" s="17" t="n">
        <x:f>IF($B$9="COERENTE",MIN($B$5,MAX(0,$B$7-B24)),"REVER")</x:f>
        <x:v>8000</x:v>
      </x:c>
      <x:c r="D24" s="17" t="n">
        <x:f>IF($B$9="COERENTE",$B$5-C24,"REVER")</x:f>
        <x:v>92000</x:v>
      </x:c>
      <x:c r="E24" s="17" t="n">
        <x:f>IF($B$9="COERENTE",$B$6-B24,"REVER")</x:f>
        <x:v>0</x:v>
      </x:c>
      <x:c r="F24" s="17" t="n">
        <x:f>IF($B$9="COERENTE",SUM(D24:E24),"REVER")</x:f>
        <x:v>92000</x:v>
      </x:c>
    </x:row>
    <x:row r="25" ht="27" customHeight="1">
      <x:c r="A25" s="4" t="str">
        <x:v>Capital primeiro, se admitido</x:v>
      </x:c>
      <x:c r="B25" s="17" t="n">
        <x:f>IF($B$9="COERENTE",MIN($B$6,MAX(0,$B$7-C25)),"REVER")</x:f>
        <x:v>0</x:v>
      </x:c>
      <x:c r="C25" s="17" t="n">
        <x:f>IF($B$9="COERENTE",MIN($B$7,$B$5),"REVER")</x:f>
        <x:v>20000</x:v>
      </x:c>
      <x:c r="D25" s="17" t="n">
        <x:f>IF($B$9="COERENTE",$B$5-C25,"REVER")</x:f>
        <x:v>80000</x:v>
      </x:c>
      <x:c r="E25" s="17" t="n">
        <x:f>IF($B$9="COERENTE",$B$6-B25,"REVER")</x:f>
        <x:v>12000</x:v>
      </x:c>
      <x:c r="F25" s="17" t="n">
        <x:f>IF($B$9="COERENTE",SUM(D25:E25),"REVER")</x:f>
        <x:v>92000</x:v>
      </x:c>
    </x:row>
    <x:row r="26" ht="27" customHeight="1">
      <x:c r="A26" s="2"/>
      <x:c r="B26" s="2"/>
      <x:c r="C26" s="2"/>
      <x:c r="D26" s="2"/>
      <x:c r="E26" s="2"/>
      <x:c r="F26" s="2"/>
    </x:row>
    <x:row r="27" ht="27" customHeight="1">
      <x:c r="A27" s="2"/>
      <x:c r="B27" s="2"/>
      <x:c r="C27" s="2"/>
      <x:c r="D27" s="2"/>
      <x:c r="E27" s="2"/>
      <x:c r="F27" s="2"/>
    </x:row>
    <x:row r="28" ht="27" customHeight="1">
      <x:c r="A28" s="18" t="str">
        <x:v>Baixa lançada apenas em setembro: mostrar o caminho</x:v>
      </x:c>
      <x:c r="B28" s="2"/>
      <x:c r="C28" s="2"/>
      <x:c r="D28" s="2"/>
      <x:c r="E28" s="2"/>
      <x:c r="F28" s="2"/>
    </x:row>
    <x:row r="29" ht="27" customHeight="1">
      <x:c r="A29" s="2"/>
      <x:c r="B29" s="2"/>
      <x:c r="C29" s="2"/>
      <x:c r="D29" s="2"/>
      <x:c r="E29" s="2"/>
      <x:c r="F29" s="2"/>
    </x:row>
    <x:row r="30" ht="43" customHeight="1">
      <x:c r="A30" s="12" t="str">
        <x:v>Etapa do teste de data</x:v>
      </x:c>
      <x:c r="B30" s="12" t="str">
        <x:v>Valor em setembro</x:v>
      </x:c>
      <x:c r="C30" s="2"/>
      <x:c r="D30" s="2"/>
      <x:c r="E30" s="2"/>
      <x:c r="F30" s="2"/>
    </x:row>
    <x:row r="31" ht="27" customHeight="1">
      <x:c r="A31" s="2" t="str">
        <x:v>Principal antes da baixa</x:v>
      </x:c>
      <x:c r="B31" s="17" t="n">
        <x:f>IF($B$9="COERENTE",$B$5*$E$5,"REVER")</x:f>
        <x:v>100567.7241632</x:v>
      </x:c>
      <x:c r="C31" s="2"/>
      <x:c r="D31" s="2"/>
      <x:c r="E31" s="2"/>
      <x:c r="F31" s="2"/>
    </x:row>
    <x:row r="32" ht="27" customHeight="1">
      <x:c r="A32" s="2" t="str">
        <x:v>Juros antigos antes da baixa</x:v>
      </x:c>
      <x:c r="B32" s="17" t="n">
        <x:f>IF($B$9="COERENTE",$B$6*$E$5,"REVER")</x:f>
        <x:v>12068.126899583998</x:v>
      </x:c>
      <x:c r="C32" s="2"/>
      <x:c r="D32" s="2"/>
      <x:c r="E32" s="2"/>
      <x:c r="F32" s="2"/>
    </x:row>
    <x:row r="33" ht="27" customHeight="1">
      <x:c r="A33" s="2" t="str">
        <x:v>Juros novos antes da baixa</x:v>
      </x:c>
      <x:c r="B33" s="17" t="n">
        <x:f>IF($B$9="COERENTE",B31*$E$6,"REVER")</x:f>
        <x:v>3379.3299682256525</x:v>
      </x:c>
      <x:c r="C33" s="2"/>
      <x:c r="D33" s="2"/>
      <x:c r="E33" s="2"/>
      <x:c r="F33" s="2"/>
    </x:row>
    <x:row r="34" ht="27" customHeight="1">
      <x:c r="A34" s="2" t="str">
        <x:v>Pagamento destinado aos juros antigos</x:v>
      </x:c>
      <x:c r="B34" s="17" t="n">
        <x:f>IF($B$9="COERENTE",MIN($B$7,B32),"REVER")</x:f>
        <x:v>12068.126899583998</x:v>
      </x:c>
      <x:c r="C34" s="2"/>
      <x:c r="D34" s="2"/>
      <x:c r="E34" s="2"/>
      <x:c r="F34" s="2"/>
    </x:row>
    <x:row r="35" ht="27" customHeight="1">
      <x:c r="A35" s="2" t="str">
        <x:v>Pagamento destinado aos juros novos</x:v>
      </x:c>
      <x:c r="B35" s="17" t="n">
        <x:f>IF($B$9="COERENTE",MIN(MAX(0,$B$7-B34),B33),"REVER")</x:f>
        <x:v>3379.3299682256525</x:v>
      </x:c>
      <x:c r="C35" s="2"/>
      <x:c r="D35" s="2"/>
      <x:c r="E35" s="2"/>
      <x:c r="F35" s="2"/>
    </x:row>
    <x:row r="36" ht="27" customHeight="1">
      <x:c r="A36" s="2" t="str">
        <x:v>Pagamento destinado ao principal</x:v>
      </x:c>
      <x:c r="B36" s="17" t="n">
        <x:f>IF($B$9="COERENTE",MIN(MAX(0,$B$7-B34-B35),B31),"REVER")</x:f>
        <x:v>4552.543132190349</x:v>
      </x:c>
      <x:c r="C36" s="2"/>
      <x:c r="D36" s="2"/>
      <x:c r="E36" s="2"/>
      <x:c r="F36" s="2"/>
    </x:row>
    <x:row r="37" ht="27" customHeight="1">
      <x:c r="A37" s="2" t="str">
        <x:v>Principal após a baixa</x:v>
      </x:c>
      <x:c r="B37" s="17" t="n">
        <x:f>IF($B$9="COERENTE",B31-B36,"REVER")</x:f>
        <x:v>96015.18103100965</x:v>
      </x:c>
      <x:c r="C37" s="2"/>
      <x:c r="D37" s="2"/>
      <x:c r="E37" s="2"/>
      <x:c r="F37" s="2"/>
    </x:row>
    <x:row r="38" ht="27" customHeight="1">
      <x:c r="A38" s="2" t="str">
        <x:v>Juros antigos após a baixa</x:v>
      </x:c>
      <x:c r="B38" s="17" t="n">
        <x:f>IF($B$9="COERENTE",B32-B34,"REVER")</x:f>
        <x:v>0</x:v>
      </x:c>
      <x:c r="C38" s="2"/>
      <x:c r="D38" s="2"/>
      <x:c r="E38" s="2"/>
      <x:c r="F38" s="2"/>
    </x:row>
    <x:row r="39" ht="27" customHeight="1">
      <x:c r="A39" s="2" t="str">
        <x:v>Juros novos após a baixa</x:v>
      </x:c>
      <x:c r="B39" s="17" t="n">
        <x:f>IF($B$9="COERENTE",B33-B35,"REVER")</x:f>
        <x:v>0</x:v>
      </x:c>
      <x:c r="C39" s="2"/>
      <x:c r="D39" s="2"/>
      <x:c r="E39" s="2"/>
      <x:c r="F39" s="2"/>
    </x:row>
    <x:row r="40" ht="27" customHeight="1">
      <x:c r="A40" s="2"/>
      <x:c r="B40" s="2"/>
      <x:c r="C40" s="2"/>
      <x:c r="D40" s="2"/>
      <x:c r="E40" s="2"/>
      <x:c r="F40" s="2"/>
    </x:row>
    <x:row r="41" ht="27" customHeight="1">
      <x:c r="A41" s="2"/>
      <x:c r="B41" s="2"/>
      <x:c r="C41" s="2"/>
      <x:c r="D41" s="2"/>
      <x:c r="E41" s="2"/>
      <x:c r="F41" s="2"/>
    </x:row>
    <x:row r="42" ht="27" customHeight="1">
      <x:c r="A42" s="18" t="str">
        <x:v>Ponte: capital primeiro menos referência</x:v>
      </x:c>
      <x:c r="B42" s="2"/>
      <x:c r="C42" s="2"/>
      <x:c r="D42" s="18" t="str">
        <x:v>Ponte do teste de data</x:v>
      </x:c>
      <x:c r="E42" s="2"/>
      <x:c r="F42" s="2"/>
    </x:row>
    <x:row r="43" ht="27" customHeight="1">
      <x:c r="A43" s="2"/>
      <x:c r="B43" s="2"/>
      <x:c r="C43" s="2"/>
      <x:c r="D43" s="2"/>
      <x:c r="E43" s="2"/>
      <x:c r="F43" s="2"/>
    </x:row>
    <x:row r="44" ht="43" customHeight="1">
      <x:c r="A44" s="12" t="str">
        <x:v>Componente</x:v>
      </x:c>
      <x:c r="B44" s="12" t="str">
        <x:v>Diferença</x:v>
      </x:c>
      <x:c r="C44" s="2"/>
      <x:c r="D44" s="12" t="str">
        <x:v>Origem do efeito</x:v>
      </x:c>
      <x:c r="E44" s="12" t="str">
        <x:v>Diferença</x:v>
      </x:c>
      <x:c r="F44" s="2"/>
    </x:row>
    <x:row r="45" ht="27" customHeight="1">
      <x:c r="A45" s="2" t="str">
        <x:v>Principal final</x:v>
      </x:c>
      <x:c r="B45" s="17" t="n">
        <x:f>IF($B$9="COERENTE",B14-B13,"REVER")</x:f>
        <x:v>-12068.126899584007</x:v>
      </x:c>
      <x:c r="C45" s="2"/>
      <x:c r="D45" s="2" t="str">
        <x:v>Correção do pagamento</x:v>
      </x:c>
      <x:c r="E45" s="17" t="n">
        <x:f>IF($B$9="COERENTE",$B$7*($E$5-1),"REVER")</x:f>
        <x:v>113.54483263999794</x:v>
      </x:c>
      <x:c r="F45" s="2"/>
    </x:row>
    <x:row r="46" ht="27" customHeight="1">
      <x:c r="A46" s="2" t="str">
        <x:v>Juros antigos finais</x:v>
      </x:c>
      <x:c r="B46" s="17" t="n">
        <x:f>IF($B$9="COERENTE",C14-C13,"REVER")</x:f>
        <x:v>12068.126899583998</x:v>
      </x:c>
      <x:c r="C46" s="2"/>
      <x:c r="D46" s="2" t="str">
        <x:v>Juros do capital amortizado</x:v>
      </x:c>
      <x:c r="E46" s="17" t="n">
        <x:f>IF($B$9="COERENTE",C24*$E$5*$E$6,"REVER")</x:f>
        <x:v>270.3463974580522</x:v>
      </x:c>
      <x:c r="F46" s="2"/>
    </x:row>
    <x:row r="47" ht="27" customHeight="1">
      <x:c r="A47" s="2" t="str">
        <x:v>Juros novos finais</x:v>
      </x:c>
      <x:c r="B47" s="17" t="n">
        <x:f>IF($B$9="COERENTE",D14-D13,"REVER")</x:f>
        <x:v>-405.5195961870786</x:v>
      </x:c>
      <x:c r="C47" s="2"/>
      <x:c r="D47" s="2" t="str">
        <x:v>Diferença do teste de data</x:v>
      </x:c>
      <x:c r="E47" s="17" t="n">
        <x:f>IF($B$9="COERENTE",SUM(E45:E46),"REVER")</x:f>
        <x:v>383.89123009805013</x:v>
      </x:c>
      <x:c r="F47" s="2"/>
    </x:row>
    <x:row r="48" ht="27" customHeight="1">
      <x:c r="A48" s="2" t="str">
        <x:v>Resíduo de fechamento (esperado: zero)</x:v>
      </x:c>
      <x:c r="B48" s="17" t="n">
        <x:f>IF($B$9="COERENTE",ROUND(SUM(B45:B47)-F14,8),"REVER")</x:f>
        <x:v>0</x:v>
      </x:c>
      <x:c r="C48" s="2"/>
      <x:c r="D48" s="2" t="str">
        <x:v>Resíduo de fechamento</x:v>
      </x:c>
      <x:c r="E48" s="17" t="n">
        <x:f>IF($B$9="COERENTE",ROUND(E47-F16,8),"REVER")</x:f>
        <x:v>0</x:v>
      </x:c>
      <x:c r="F48" s="2"/>
    </x:row>
    <x:row r="49" ht="27" customHeight="1">
      <x:c r="A49" s="2"/>
      <x:c r="B49" s="2"/>
      <x:c r="C49" s="2"/>
      <x:c r="D49" s="2"/>
      <x:c r="E49" s="2"/>
      <x:c r="F49" s="2"/>
    </x:row>
    <x:row r="50" ht="27" customHeight="1">
      <x:c r="A50" s="4" t="str">
        <x:v>Sem arredondamento monetário por linha; deltas e resíduos fechados com oito casas decimais.</x:v>
      </x:c>
      <x:c r="B50" s="2"/>
      <x:c r="C50" s="2"/>
      <x:c r="D50" s="2"/>
      <x:c r="E50" s="2"/>
      <x:c r="F50" s="2"/>
    </x:row>
    <x:row r="51" ht="27" customHeight="1">
      <x:c r="A51" s="4" t="str">
        <x:v>As parcelas exibidas em centavos podem deixar resíduo de R$ 0,01 na soma visual.</x:v>
      </x:c>
      <x:c r="B51" s="2"/>
      <x:c r="C51" s="2"/>
      <x:c r="D51" s="2"/>
      <x:c r="E51" s="2"/>
      <x:c r="F51" s="2"/>
    </x:row>
    <x:row r="52" ht="27" customHeight="1">
      <x:c r="A52" s="4" t="str">
        <x:v>Sem multa, honorários, custas ou decisão de caso real. Células amarelas: entradas hipotéticas editáveis.</x:v>
      </x:c>
      <x:c r="B52" s="2"/>
      <x:c r="C52" s="2"/>
      <x:c r="D52" s="2"/>
      <x:c r="E52" s="2"/>
      <x:c r="F52" s="2"/>
    </x:row>
    <x:row r="53" ht="27" customHeight="1">
      <x:c r="A53" s="4" t="str">
        <x:v>Datas e regimes são premissas fixas do exercício; o arquivo não classifica documentos nem conta prazos.</x:v>
      </x:c>
      <x:c r="B53" s="2"/>
      <x:c r="C53" s="2"/>
      <x:c r="D53" s="2"/>
      <x:c r="E53" s="2"/>
      <x:c r="F53" s="2"/>
    </x:row>
    <x:row r="54" ht="27" customHeight="1">
      <x:c r="A54" s="2"/>
      <x:c r="B54" s="2"/>
      <x:c r="C54" s="2"/>
      <x:c r="D54" s="2"/>
      <x:c r="E54" s="2"/>
      <x:c r="F5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59" hidden="0" customWidth="1"/>
    <x:col min="3" max="3" width="51" hidden="0" customWidth="1"/>
    <x:col min="4" max="4" width="22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Fontes oficiais e documentos para conferência</x:v>
      </x:c>
      <x:c r="B2" s="2"/>
      <x:c r="C2" s="2"/>
      <x:c r="D2" s="2"/>
    </x:row>
    <x:row r="3" ht="27" customHeight="1">
      <x:c r="A3" s="4" t="str">
        <x:v>Dados mensais reais: julho a setembro de 2026. Consulta em 03/11/2026.</x:v>
      </x:c>
      <x:c r="B3" s="2"/>
      <x:c r="C3" s="2"/>
      <x:c r="D3" s="2"/>
    </x:row>
    <x:row r="4" ht="27" customHeight="1">
      <x:c r="A4" s="2"/>
      <x:c r="B4" s="2"/>
      <x:c r="C4" s="2"/>
      <x:c r="D4" s="2"/>
    </x:row>
    <x:row r="5" ht="43" customHeight="1">
      <x:c r="A5" s="12" t="str">
        <x:v>Competência</x:v>
      </x:c>
      <x:c r="B5" s="12" t="str">
        <x:v>IPCA mensal (%)</x:v>
      </x:c>
      <x:c r="C5" s="12" t="str">
        <x:v>Taxa Legal mensal (%)</x:v>
      </x:c>
      <x:c r="D5" s="12" t="str">
        <x:v>Fator IPCA</x:v>
      </x:c>
    </x:row>
    <x:row r="6" ht="27" customHeight="1">
      <x:c r="A6" s="2" t="str">
        <x:v>07/2026</x:v>
      </x:c>
      <x:c r="B6" s="19" t="n">
        <x:v>0.07</x:v>
      </x:c>
      <x:c r="C6" s="20" t="n">
        <x:v>0.706607</x:v>
      </x:c>
      <x:c r="D6" s="21" t="n">
        <x:f>1+B6/100</x:f>
        <x:v>1.0007</x:v>
      </x:c>
    </x:row>
    <x:row r="7" ht="27" customHeight="1">
      <x:c r="A7" s="2" t="str">
        <x:v>08/2026</x:v>
      </x:c>
      <x:c r="B7" s="19" t="n">
        <x:v>-0.32</x:v>
      </x:c>
      <x:c r="C7" s="20" t="n">
        <x:v>1.154527</x:v>
      </x:c>
      <x:c r="D7" s="21" t="n">
        <x:f>1+B7/100</x:f>
        <x:v>0.9968</x:v>
      </x:c>
    </x:row>
    <x:row r="8" ht="27" customHeight="1">
      <x:c r="A8" s="2" t="str">
        <x:v>09/2026</x:v>
      </x:c>
      <x:c r="B8" s="19" t="n">
        <x:v>0.82</x:v>
      </x:c>
      <x:c r="C8" s="20" t="n">
        <x:v>1.499119</x:v>
      </x:c>
      <x:c r="D8" s="21" t="n">
        <x:f>1+B8/100</x:f>
        <x:v>1.0082</x:v>
      </x:c>
    </x:row>
    <x:row r="9" ht="27" customHeight="1">
      <x:c r="A9" s="2"/>
      <x:c r="B9" s="2"/>
      <x:c r="C9" s="2"/>
      <x:c r="D9" s="2"/>
    </x:row>
    <x:row r="10" ht="27" customHeight="1">
      <x:c r="A10" s="4" t="str">
        <x:v>IPCA acumulado: fator</x:v>
      </x:c>
      <x:c r="B10" s="7" t="n">
        <x:f>PRODUCT(D6:D8)</x:f>
        <x:v>1.005677241632</x:v>
      </x:c>
      <x:c r="C10" s="2"/>
      <x:c r="D10" s="2"/>
    </x:row>
    <x:row r="11" ht="27" customHeight="1">
      <x:c r="A11" s="4" t="str">
        <x:v>Taxa Legal acumulada: simples</x:v>
      </x:c>
      <x:c r="B11" s="8" t="n">
        <x:f>SUM(C6:C8)/100</x:f>
        <x:v>0.03360253</x:v>
      </x:c>
      <x:c r="C11" s="2"/>
      <x:c r="D11" s="2"/>
    </x:row>
    <x:row r="12" ht="27" customHeight="1">
      <x:c r="A12" s="2"/>
      <x:c r="B12" s="2"/>
      <x:c r="C12" s="2"/>
      <x:c r="D12" s="2"/>
    </x:row>
    <x:row r="13" ht="27" customHeight="1">
      <x:c r="A13" s="4" t="str">
        <x:v>IPCA/IBGE cotejado no BCB e no SIDRA: três observações coincidentes.</x:v>
      </x:c>
      <x:c r="B13" s="2"/>
      <x:c r="C13" s="2"/>
      <x:c r="D13" s="2"/>
    </x:row>
    <x:row r="14" ht="27" customHeight="1">
      <x:c r="A14" s="2"/>
      <x:c r="B14" s="2"/>
      <x:c r="C14" s="2"/>
      <x:c r="D14" s="2"/>
    </x:row>
    <x:row r="15" ht="72" customHeight="1">
      <x:c r="A15" s="4" t="str">
        <x:v>Código Civil: arts. 352 a 355</x:v>
      </x:c>
      <x:c r="B15" s="22" t="str">
        <x:v>https://www2.camara.leg.br/legin/fed/lei/2002/lei-10406-10-janeiro-2002-432893-normaatualizada-pl.html</x:v>
      </x:c>
      <x:c r="C15" s="2"/>
      <x:c r="D15" s="2"/>
    </x:row>
    <x:row r="16" ht="27" customHeight="1">
      <x:c r="A16" s="2"/>
      <x:c r="B16" s="2"/>
      <x:c r="C16" s="2"/>
      <x:c r="D16" s="2"/>
    </x:row>
    <x:row r="17" ht="72" customHeight="1">
      <x:c r="A17" s="4" t="str">
        <x:v>CMN 5.171: arts. 6º e 7º</x:v>
      </x:c>
      <x:c r="B17" s="22" t="str">
        <x:v>https://www.bcb.gov.br/content/estabilidadefinanceira/especialnor/Resolu%C3%A7%C3%A3o5171.pdf</x:v>
      </x:c>
      <x:c r="C17" s="2"/>
      <x:c r="D17" s="2"/>
    </x:row>
    <x:row r="18" ht="27" customHeight="1">
      <x:c r="A18" s="2"/>
      <x:c r="B18" s="2"/>
      <x:c r="C18" s="2"/>
      <x:c r="D18" s="2"/>
    </x:row>
    <x:row r="19" ht="72" customHeight="1">
      <x:c r="A19" s="4" t="str">
        <x:v>CPC: arts. 473 e 524</x:v>
      </x:c>
      <x:c r="B19" s="22" t="str">
        <x:v>https://www2.camara.leg.br/legin/fed/lei/2015/lei-13105-16-marco-2015-780273-normaatualizada-pl.html</x:v>
      </x:c>
      <x:c r="C19" s="2"/>
      <x:c r="D19" s="2"/>
    </x:row>
    <x:row r="20" ht="27" customHeight="1">
      <x:c r="A20" s="2"/>
      <x:c r="B20" s="2"/>
      <x:c r="C20" s="2"/>
      <x:c r="D20" s="2"/>
    </x:row>
    <x:row r="21" ht="92" customHeight="1">
      <x:c r="A21" s="4" t="str">
        <x:v>BCB/SGS 433: IPCA mensal</x:v>
      </x:c>
      <x:c r="B21" s="22" t="str">
        <x:v>https://api.bcb.gov.br/dados/serie/bcdata.sgs.433/dados?formato=json&amp;dataInicial=01/07/2026&amp;dataFinal=30/09/2026</x:v>
      </x:c>
      <x:c r="C21" s="2"/>
      <x:c r="D21" s="2"/>
    </x:row>
    <x:row r="22" ht="27" customHeight="1">
      <x:c r="A22" s="2"/>
      <x:c r="B22" s="2"/>
      <x:c r="C22" s="2"/>
      <x:c r="D22" s="2"/>
    </x:row>
    <x:row r="23" ht="72" customHeight="1">
      <x:c r="A23" s="4" t="str">
        <x:v>IBGE/SIDRA 1737: IPCA</x:v>
      </x:c>
      <x:c r="B23" s="22" t="str">
        <x:v>https://apisidra.ibge.gov.br/values/t/1737/n1/all/v/63/p/202607-202609?formato=json</x:v>
      </x:c>
      <x:c r="C23" s="2"/>
      <x:c r="D23" s="2"/>
    </x:row>
    <x:row r="24" ht="27" customHeight="1">
      <x:c r="A24" s="2"/>
      <x:c r="B24" s="2"/>
      <x:c r="C24" s="2"/>
      <x:c r="D24" s="2"/>
    </x:row>
    <x:row r="25" ht="92" customHeight="1">
      <x:c r="A25" s="4" t="str">
        <x:v>BCB/SGS 29543: Taxa Legal</x:v>
      </x:c>
      <x:c r="B25" s="22" t="str">
        <x:v>https://api.bcb.gov.br/dados/serie/bcdata.sgs.29543/dados?formato=json&amp;dataInicial=01/07/2026&amp;dataFinal=30/09/2026</x:v>
      </x:c>
      <x:c r="C25" s="2"/>
      <x:c r="D25" s="2"/>
    </x:row>
    <x:row r="26" ht="27" customHeight="1">
      <x:c r="A26" s="2"/>
      <x:c r="B26" s="2"/>
      <x:c r="C26" s="2"/>
      <x:c r="D26" s="2"/>
    </x:row>
    <x:row r="27" ht="27" customHeight="1">
      <x:c r="A27" s="2"/>
      <x:c r="B27" s="2"/>
      <x:c r="C27" s="2"/>
      <x:c r="D27" s="2"/>
    </x:row>
    <x:row r="28" ht="27" customHeight="1">
      <x:c r="A28" s="18" t="str">
        <x:v>Parâmetros jurídicos não são decididos pela fórmula.</x:v>
      </x:c>
      <x:c r="B28" s="2"/>
      <x:c r="C28" s="2"/>
      <x:c r="D28" s="2"/>
    </x:row>
    <x:row r="29" ht="27" customHeight="1">
      <x:c r="A29" s="2"/>
      <x:c r="B29" s="2"/>
      <x:c r="C29" s="2"/>
      <x:c r="D29" s="2"/>
    </x:row>
    <x:row r="30" ht="43" customHeight="1">
      <x:c r="A30" s="12" t="str">
        <x:v>Ponto a conferir</x:v>
      </x:c>
      <x:c r="B30" s="12" t="str">
        <x:v>Documento ou fonte</x:v>
      </x:c>
      <x:c r="C30" s="12" t="str">
        <x:v>O que registrar</x:v>
      </x:c>
      <x:c r="D30" s="2"/>
    </x:row>
    <x:row r="31" ht="65" customHeight="1">
      <x:c r="A31" s="13" t="str">
        <x:v>Saldo inicial</x:v>
      </x:c>
      <x:c r="B31" s="13" t="str">
        <x:v>Título, memória anterior e documentos dos valores.</x:v>
      </x:c>
      <x:c r="C31" s="13" t="str">
        <x:v>Principal e juros vencidos, em data comum.</x:v>
      </x:c>
      <x:c r="D31" s="2"/>
    </x:row>
    <x:row r="32" ht="65" customHeight="1">
      <x:c r="A32" s="13" t="str">
        <x:v>Pagamento</x:v>
      </x:c>
      <x:c r="B32" s="13" t="str">
        <x:v>Comprovante, extrato, recibo, obrigação e peças pertinentes.</x:v>
      </x:c>
      <x:c r="C32" s="13" t="str">
        <x:v>Data adotada e suporte de sua eficácia para o débito.</x:v>
      </x:c>
      <x:c r="D32" s="2"/>
    </x:row>
    <x:row r="33" ht="65" customHeight="1">
      <x:c r="A33" s="13" t="str">
        <x:v>Ordem da imputação</x:v>
      </x:c>
      <x:c r="B33" s="13" t="str">
        <x:v>Título, estipulação e quitação; CC, art. 354.</x:v>
      </x:c>
      <x:c r="C33" s="13" t="str">
        <x:v>Juros primeiro ou suporte para hipótese contrária.</x:v>
      </x:c>
      <x:c r="D33" s="2"/>
    </x:row>
    <x:row r="34" ht="65" customHeight="1">
      <x:c r="A34" s="13" t="str">
        <x:v>Novos encargos</x:v>
      </x:c>
      <x:c r="B34" s="13" t="str">
        <x:v>Critério da correção, juros e intervalos definidos.</x:v>
      </x:c>
      <x:c r="C34" s="13" t="str">
        <x:v>Regime simples; base dos novos juros; tratamento dos juros antigos.</x:v>
      </x:c>
      <x:c r="D34" s="2"/>
    </x:row>
    <x:row r="35" ht="65" customHeight="1">
      <x:c r="A35" s="13" t="str">
        <x:v>Divergências</x:v>
      </x:c>
      <x:c r="B35" s="13" t="str">
        <x:v>Duas memórias e registro de parâmetros e versões.</x:v>
      </x:c>
      <x:c r="C35" s="13" t="str">
        <x:v>Classificar critério, data e fórmula; fechar a ponte.</x:v>
      </x:c>
      <x:c r="D35" s="2"/>
    </x:row>
    <x:row r="36" ht="27" customHeight="1">
      <x:c r="A36" s="2"/>
      <x:c r="B36" s="2"/>
      <x:c r="C36" s="2"/>
      <x:c r="D36" s="2"/>
    </x:row>
    <x:row r="37" ht="27" customHeight="1">
      <x:c r="A37" s="2"/>
      <x:c r="B37" s="2"/>
      <x:c r="C37" s="2"/>
      <x:c r="D37" s="2"/>
    </x:row>
    <x:row r="38" ht="27" customHeight="1">
      <x:c r="A38" s="4" t="str">
        <x:v>Capital primeiro é alternativa condicionada, não conclusão de erro ou direito.</x:v>
      </x:c>
      <x:c r="B38" s="2"/>
      <x:c r="C38" s="2"/>
      <x:c r="D38" s="2"/>
    </x:row>
    <x:row r="39" ht="27" customHeight="1">
      <x:c r="A39" s="4" t="str">
        <x:v>O lançamento em setembro é contrafactual; não representa descoberta em processo real.</x:v>
      </x:c>
      <x:c r="B39" s="2"/>
      <x:c r="C39" s="2"/>
      <x:c r="D39" s="2"/>
    </x:row>
    <x:row r="40" ht="27" customHeight="1">
      <x:c r="A40" s="2"/>
      <x:c r="B40" s="2"/>
      <x:c r="C40" s="2"/>
      <x:c r="D40" s="2"/>
    </x:row>
    <x:row r="41" ht="27" customHeight="1">
      <x:c r="A41" s="4" t="str">
        <x:v>Costa Nova Associados | edição pública | versão 1.0 | 03/11/2026.</x:v>
      </x:c>
      <x:c r="B41" s="2"/>
      <x:c r="C41" s="2"/>
      <x:c r="D41" s="2"/>
    </x:row>
    <x:row r="42" ht="27" customHeight="1">
      <x:c r="A42" s="2"/>
      <x:c r="B42" s="2"/>
      <x:c r="C42" s="2"/>
      <x:c r="D42" s="2"/>
    </x:row>
    <x:row r="43" ht="27" customHeight="1">
      <x:c r="A43" s="2"/>
      <x:c r="B43" s="2"/>
      <x:c r="C43" s="2"/>
      <x:c r="D43" s="2"/>
    </x:row>
  </x:sheetData>
  <x:pageMargins left="0.7" right="0.7" top="0.75" bottom="0.75" header="0.3" footer="0.3"/>
</x:worksheet>
</file>